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alculations" sheetId="17" r:id="rId1"/>
    <sheet name="2023 Stacked" sheetId="24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H27" i="17" l="1"/>
  <c r="M17" i="17" l="1"/>
  <c r="M16" i="17"/>
  <c r="M15" i="17"/>
  <c r="H19" i="17"/>
  <c r="H10" i="17"/>
  <c r="H28" i="17"/>
  <c r="O10" i="17"/>
  <c r="O9" i="17"/>
  <c r="N10" i="17"/>
  <c r="N9" i="17"/>
  <c r="I10" i="17" l="1"/>
  <c r="I19" i="17"/>
  <c r="C23" i="17" l="1"/>
  <c r="B23" i="17"/>
  <c r="D21" i="17"/>
  <c r="E21" i="17" s="1"/>
  <c r="D22" i="17"/>
  <c r="D20" i="17"/>
  <c r="E20" i="17" s="1"/>
  <c r="D19" i="17"/>
  <c r="E19" i="17" s="1"/>
  <c r="D18" i="17"/>
  <c r="E18" i="17" s="1"/>
  <c r="C14" i="17"/>
  <c r="B14" i="17"/>
  <c r="D12" i="17"/>
  <c r="E12" i="17" s="1"/>
  <c r="D13" i="17"/>
  <c r="D11" i="17"/>
  <c r="E11" i="17" s="1"/>
  <c r="D10" i="17"/>
  <c r="E10" i="17" s="1"/>
  <c r="D9" i="17"/>
  <c r="E9" i="17" s="1"/>
  <c r="E22" i="17" l="1"/>
  <c r="I22" i="17"/>
  <c r="E13" i="17"/>
  <c r="I13" i="17"/>
  <c r="N22" i="17"/>
  <c r="H21" i="17"/>
  <c r="N21" i="17"/>
  <c r="H12" i="17"/>
  <c r="D14" i="17"/>
  <c r="E14" i="17" s="1"/>
  <c r="D23" i="17"/>
  <c r="E23" i="17" s="1"/>
  <c r="N15" i="17" l="1"/>
  <c r="H13" i="17"/>
  <c r="N16" i="17"/>
  <c r="H22" i="17"/>
  <c r="O15" i="17"/>
  <c r="I28" i="17" l="1"/>
  <c r="I29" i="17"/>
  <c r="I27" i="17"/>
  <c r="I20" i="17"/>
  <c r="I18" i="17"/>
  <c r="I11" i="17"/>
  <c r="I9" i="17"/>
  <c r="O22" i="17"/>
  <c r="H30" i="17" s="1"/>
  <c r="O21" i="17"/>
  <c r="O16" i="17"/>
  <c r="H31" i="17" s="1"/>
  <c r="I30" i="17" l="1"/>
  <c r="I12" i="17"/>
  <c r="I31" i="17"/>
  <c r="I21" i="17"/>
  <c r="H32" i="17"/>
  <c r="J31" i="17" s="1"/>
  <c r="H14" i="17"/>
  <c r="J12" i="17" s="1"/>
  <c r="J30" i="17" l="1"/>
  <c r="J13" i="17"/>
  <c r="I32" i="17"/>
  <c r="I14" i="17"/>
  <c r="J28" i="17"/>
  <c r="J27" i="17"/>
  <c r="J29" i="17"/>
  <c r="J10" i="17"/>
  <c r="J9" i="17"/>
  <c r="J11" i="17"/>
  <c r="H23" i="17"/>
  <c r="I23" i="17"/>
</calcChain>
</file>

<file path=xl/sharedStrings.xml><?xml version="1.0" encoding="utf-8"?>
<sst xmlns="http://schemas.openxmlformats.org/spreadsheetml/2006/main" count="71" uniqueCount="25">
  <si>
    <t>OGV</t>
  </si>
  <si>
    <t>Harbor Craft</t>
  </si>
  <si>
    <t xml:space="preserve">Cargo Handling Equipment </t>
  </si>
  <si>
    <t>Locomotives</t>
  </si>
  <si>
    <t xml:space="preserve">Total </t>
  </si>
  <si>
    <t xml:space="preserve">Tons/year </t>
  </si>
  <si>
    <t>POLA</t>
  </si>
  <si>
    <t>POLB</t>
  </si>
  <si>
    <t>Tons/year</t>
  </si>
  <si>
    <t xml:space="preserve">Tons/day </t>
  </si>
  <si>
    <t>Tons/day</t>
  </si>
  <si>
    <t xml:space="preserve">Trucks </t>
  </si>
  <si>
    <t>Ocean Going Vessels</t>
  </si>
  <si>
    <t>Total</t>
  </si>
  <si>
    <t>Values from Port Emission Inventory Reports</t>
  </si>
  <si>
    <t>Summarized Emission Estimates</t>
  </si>
  <si>
    <t>Supporting Calculations</t>
  </si>
  <si>
    <t>Ports / SIP Ratio</t>
  </si>
  <si>
    <t>Heavy-duty Trucks  (T7 POLA)</t>
  </si>
  <si>
    <t>Locomotives (Line Haul + Switching)</t>
  </si>
  <si>
    <t>CARB SIP Inventory</t>
  </si>
  <si>
    <t>Ports' Inventories</t>
  </si>
  <si>
    <t>SIP</t>
  </si>
  <si>
    <t>Ports</t>
  </si>
  <si>
    <t>Calculated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</si>
</sst>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Fill="1"/>
    <xf numFmtId="0" fontId="0" fillId="3" borderId="1" xfId="0" applyFill="1" applyBorder="1"/>
    <xf numFmtId="0" fontId="0" fillId="0" borderId="8" xfId="0" applyFill="1" applyBorder="1"/>
    <xf numFmtId="0" fontId="2" fillId="0" borderId="1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Fill="1" applyBorder="1"/>
    <xf numFmtId="0" fontId="2" fillId="0" borderId="11" xfId="0" applyFont="1" applyFill="1" applyBorder="1"/>
    <xf numFmtId="0" fontId="2" fillId="0" borderId="4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4" borderId="6" xfId="0" applyFill="1" applyBorder="1"/>
    <xf numFmtId="0" fontId="2" fillId="2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9" fontId="0" fillId="0" borderId="0" xfId="2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5" borderId="2" xfId="0" applyFill="1" applyBorder="1"/>
    <xf numFmtId="0" fontId="0" fillId="3" borderId="4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3" borderId="9" xfId="0" applyFill="1" applyBorder="1"/>
    <xf numFmtId="0" fontId="0" fillId="4" borderId="9" xfId="0" applyFill="1" applyBorder="1"/>
    <xf numFmtId="1" fontId="0" fillId="3" borderId="11" xfId="0" applyNumberFormat="1" applyFill="1" applyBorder="1" applyAlignment="1">
      <alignment horizontal="center"/>
    </xf>
    <xf numFmtId="1" fontId="0" fillId="4" borderId="11" xfId="0" applyNumberForma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3" applyBorder="1" applyAlignment="1">
      <alignment horizontal="left"/>
    </xf>
    <xf numFmtId="0" fontId="3" fillId="0" borderId="5" xfId="3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3"/>
    <xf numFmtId="2" fontId="0" fillId="4" borderId="5" xfId="0" applyNumberFormat="1" applyFill="1" applyBorder="1" applyAlignment="1">
      <alignment horizontal="center"/>
    </xf>
  </cellXfs>
  <cellStyles count="4">
    <cellStyle name="Hyperlink" xfId="3" builtinId="8"/>
    <cellStyle name="Normal" xfId="0" builtinId="0"/>
    <cellStyle name="Normal 2" xfId="1"/>
    <cellStyle name="Percent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Estimated 2023 NOx Emissions Associated with Ports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Calculations!$G$27</c:f>
              <c:strCache>
                <c:ptCount val="1"/>
                <c:pt idx="0">
                  <c:v>Ocean Going Vessels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9787235000219858"/>
                  <c:y val="0"/>
                </c:manualLayout>
              </c:layout>
              <c:tx>
                <c:rich>
                  <a:bodyPr/>
                  <a:lstStyle/>
                  <a:p>
                    <a:fld id="{6648B152-4D0E-4282-BDC1-1C875DCC36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Calculations!$H$27</c:f>
              <c:numCache>
                <c:formatCode>0.0</c:formatCode>
                <c:ptCount val="1"/>
                <c:pt idx="0">
                  <c:v>22.611088021446434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Calculations!$J$27</c15:f>
                <c15:dlblRangeCache>
                  <c:ptCount val="1"/>
                  <c:pt idx="0">
                    <c:v>64%</c:v>
                  </c:pt>
                </c15:dlblRangeCache>
              </c15:datalabelsRange>
            </c:ext>
          </c:extLst>
        </c:ser>
        <c:ser>
          <c:idx val="4"/>
          <c:order val="1"/>
          <c:tx>
            <c:strRef>
              <c:f>Calculations!$G$30</c:f>
              <c:strCache>
                <c:ptCount val="1"/>
                <c:pt idx="0">
                  <c:v>Trucks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9494090777994383"/>
                  <c:y val="0"/>
                </c:manualLayout>
              </c:layout>
              <c:tx>
                <c:rich>
                  <a:bodyPr/>
                  <a:lstStyle/>
                  <a:p>
                    <a:fld id="{3E88C22A-B445-4A50-80E0-CA2BC8DBCA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Calculations!$H$30</c:f>
              <c:numCache>
                <c:formatCode>0.0</c:formatCode>
                <c:ptCount val="1"/>
                <c:pt idx="0">
                  <c:v>5.1623904051983365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Calculations!$J$30</c15:f>
                <c15:dlblRangeCache>
                  <c:ptCount val="1"/>
                  <c:pt idx="0">
                    <c:v>15%</c:v>
                  </c:pt>
                </c15:dlblRangeCache>
              </c15:datalabelsRange>
            </c:ext>
          </c:extLst>
        </c:ser>
        <c:ser>
          <c:idx val="1"/>
          <c:order val="2"/>
          <c:tx>
            <c:strRef>
              <c:f>Calculations!$G$28</c:f>
              <c:strCache>
                <c:ptCount val="1"/>
                <c:pt idx="0">
                  <c:v>Harbor Craft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9787235000219858"/>
                  <c:y val="0"/>
                </c:manualLayout>
              </c:layout>
              <c:tx>
                <c:rich>
                  <a:bodyPr/>
                  <a:lstStyle/>
                  <a:p>
                    <a:fld id="{8D9E7957-71CE-406A-B6E5-984DA87579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Calculations!$H$28</c:f>
              <c:numCache>
                <c:formatCode>0.0</c:formatCode>
                <c:ptCount val="1"/>
                <c:pt idx="0">
                  <c:v>3.2402044943121142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Calculations!$J$28</c15:f>
                <c15:dlblRangeCache>
                  <c:ptCount val="1"/>
                  <c:pt idx="0">
                    <c:v>9%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Calculations!$G$31</c:f>
              <c:strCache>
                <c:ptCount val="1"/>
                <c:pt idx="0">
                  <c:v>Locomotives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9494090777994383"/>
                  <c:y val="0"/>
                </c:manualLayout>
              </c:layout>
              <c:tx>
                <c:rich>
                  <a:bodyPr/>
                  <a:lstStyle/>
                  <a:p>
                    <a:fld id="{97ED8B31-6CE1-4307-96B5-D7A38A5140D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Calculations!$H$31</c:f>
              <c:numCache>
                <c:formatCode>0.0</c:formatCode>
                <c:ptCount val="1"/>
                <c:pt idx="0">
                  <c:v>2.7855141405984973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Calculations!$J$31</c15:f>
                <c15:dlblRangeCache>
                  <c:ptCount val="1"/>
                  <c:pt idx="0">
                    <c:v>8%</c:v>
                  </c:pt>
                </c15:dlblRangeCache>
              </c15:datalabelsRange>
            </c:ext>
          </c:extLst>
        </c:ser>
        <c:ser>
          <c:idx val="2"/>
          <c:order val="4"/>
          <c:tx>
            <c:strRef>
              <c:f>Calculations!$G$29</c:f>
              <c:strCache>
                <c:ptCount val="1"/>
                <c:pt idx="0">
                  <c:v>Cargo Handling Equipment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9494090777994383"/>
                  <c:y val="1.8512273711981654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4C44B1D-4035-467E-848B-58A4CB80CEA3}" type="CELLRANGE">
                      <a:rPr lang="en-US"/>
                      <a:pPr>
                        <a:defRPr sz="1100" b="1"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Calculations!$H$29</c:f>
              <c:numCache>
                <c:formatCode>0.0</c:formatCode>
                <c:ptCount val="1"/>
                <c:pt idx="0">
                  <c:v>1.2870000000000001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Calculations!$J$29</c15:f>
                <c15:dlblRangeCache>
                  <c:ptCount val="1"/>
                  <c:pt idx="0">
                    <c:v>4%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1002680"/>
        <c:axId val="320996800"/>
      </c:barChart>
      <c:catAx>
        <c:axId val="321002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0996800"/>
        <c:crosses val="autoZero"/>
        <c:auto val="1"/>
        <c:lblAlgn val="ctr"/>
        <c:lblOffset val="100"/>
        <c:noMultiLvlLbl val="0"/>
      </c:catAx>
      <c:valAx>
        <c:axId val="320996800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Estimated NOx (ton/day)</a:t>
                </a:r>
                <a:endParaRPr lang="en-US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00268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32028245253688"/>
          <c:y val="0.40105474268463881"/>
          <c:w val="0.25903216011398927"/>
          <c:h val="0.23142941741082362"/>
        </c:manualLayout>
      </c:layout>
      <c:overlay val="1"/>
      <c:spPr>
        <a:solidFill>
          <a:schemeClr val="bg1"/>
        </a:solidFill>
        <a:ln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0.42689</cdr:x>
      <cdr:y>0.14413</cdr:y>
    </cdr:from>
    <cdr:to>
      <cdr:x>0.64084</cdr:x>
      <cdr:y>0.18928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533" y="907696"/>
          <a:ext cx="1855664" cy="2843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 i="1" u="none"/>
            <a:t>Total ≈35 ton/day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rtoflosangeles.org/environment/studies_reports.asp" TargetMode="External"/><Relationship Id="rId2" Type="http://schemas.openxmlformats.org/officeDocument/2006/relationships/hyperlink" Target="http://www.polb.com/environment/air/emissions.asp" TargetMode="External"/><Relationship Id="rId1" Type="http://schemas.openxmlformats.org/officeDocument/2006/relationships/hyperlink" Target="https://www.arb.ca.gov/app/emsinv/fcemssumcat/fcemssumcat2016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B1" workbookViewId="0">
      <selection activeCell="O21" sqref="O21:O22"/>
    </sheetView>
  </sheetViews>
  <sheetFormatPr defaultRowHeight="15" x14ac:dyDescent="0.25"/>
  <cols>
    <col min="1" max="1" width="25.28515625" customWidth="1"/>
    <col min="6" max="6" width="6.28515625" customWidth="1"/>
    <col min="7" max="7" width="25.42578125" customWidth="1"/>
    <col min="8" max="9" width="12.5703125" customWidth="1"/>
    <col min="10" max="10" width="10" customWidth="1"/>
    <col min="12" max="12" width="18.7109375" customWidth="1"/>
    <col min="13" max="13" width="11.42578125" customWidth="1"/>
    <col min="14" max="15" width="14.7109375" customWidth="1"/>
  </cols>
  <sheetData>
    <row r="1" spans="1:15" x14ac:dyDescent="0.25">
      <c r="K1" s="22"/>
      <c r="L1" s="50" t="s">
        <v>21</v>
      </c>
      <c r="M1" s="51"/>
      <c r="N1" s="59" t="s">
        <v>7</v>
      </c>
      <c r="O1" s="59" t="s">
        <v>6</v>
      </c>
    </row>
    <row r="2" spans="1:15" x14ac:dyDescent="0.25">
      <c r="K2" s="23"/>
      <c r="L2" s="52" t="s">
        <v>20</v>
      </c>
      <c r="M2" s="53"/>
    </row>
    <row r="3" spans="1:15" x14ac:dyDescent="0.25">
      <c r="K3" s="12"/>
      <c r="L3" s="54" t="s">
        <v>24</v>
      </c>
      <c r="M3" s="55"/>
    </row>
    <row r="5" spans="1:15" s="45" customFormat="1" x14ac:dyDescent="0.25">
      <c r="A5" s="56" t="s">
        <v>14</v>
      </c>
      <c r="B5" s="57"/>
      <c r="C5" s="57"/>
      <c r="D5" s="57"/>
      <c r="E5" s="58"/>
      <c r="G5" s="56" t="s">
        <v>15</v>
      </c>
      <c r="H5" s="57"/>
      <c r="I5" s="57"/>
      <c r="J5" s="58"/>
      <c r="L5" s="56" t="s">
        <v>16</v>
      </c>
      <c r="M5" s="57"/>
      <c r="N5" s="57"/>
      <c r="O5" s="58"/>
    </row>
    <row r="7" spans="1:15" x14ac:dyDescent="0.25">
      <c r="A7" s="47">
        <v>2012</v>
      </c>
      <c r="B7" s="48" t="s">
        <v>8</v>
      </c>
      <c r="C7" s="48"/>
      <c r="D7" s="48"/>
      <c r="E7" s="13" t="s">
        <v>10</v>
      </c>
      <c r="G7" s="46">
        <v>2012</v>
      </c>
      <c r="H7" s="46" t="s">
        <v>9</v>
      </c>
      <c r="I7" s="46" t="s">
        <v>5</v>
      </c>
      <c r="L7" s="5" t="s">
        <v>1</v>
      </c>
      <c r="M7" s="6"/>
      <c r="N7" s="6"/>
      <c r="O7" s="7"/>
    </row>
    <row r="8" spans="1:15" x14ac:dyDescent="0.25">
      <c r="A8" s="49"/>
      <c r="B8" s="13" t="s">
        <v>7</v>
      </c>
      <c r="C8" s="13" t="s">
        <v>6</v>
      </c>
      <c r="D8" s="13" t="s">
        <v>4</v>
      </c>
      <c r="E8" s="13" t="s">
        <v>13</v>
      </c>
      <c r="G8" s="46"/>
      <c r="H8" s="46"/>
      <c r="I8" s="46"/>
      <c r="L8" s="8" t="s">
        <v>10</v>
      </c>
      <c r="M8" s="40" t="s">
        <v>22</v>
      </c>
      <c r="N8" s="44" t="s">
        <v>23</v>
      </c>
      <c r="O8" s="9" t="s">
        <v>17</v>
      </c>
    </row>
    <row r="9" spans="1:15" x14ac:dyDescent="0.25">
      <c r="A9" s="24" t="s">
        <v>0</v>
      </c>
      <c r="B9" s="25">
        <v>4321</v>
      </c>
      <c r="C9" s="25">
        <v>3402</v>
      </c>
      <c r="D9" s="25">
        <f>C9+B9</f>
        <v>7723</v>
      </c>
      <c r="E9" s="26">
        <f>D9/365</f>
        <v>21.158904109589042</v>
      </c>
      <c r="G9" s="2" t="s">
        <v>12</v>
      </c>
      <c r="H9" s="14">
        <v>30.140999999999998</v>
      </c>
      <c r="I9" s="29">
        <f>H9*365</f>
        <v>11001.465</v>
      </c>
      <c r="J9" s="20">
        <f>H9/H$14</f>
        <v>0.62776228552647118</v>
      </c>
      <c r="L9" s="10">
        <v>2012</v>
      </c>
      <c r="M9" s="41">
        <v>15.845000000000001</v>
      </c>
      <c r="N9" s="43">
        <f>E10</f>
        <v>4.1808219178082195</v>
      </c>
      <c r="O9" s="60">
        <f>N9/M9</f>
        <v>0.26385748929051556</v>
      </c>
    </row>
    <row r="10" spans="1:15" x14ac:dyDescent="0.25">
      <c r="A10" s="24" t="s">
        <v>1</v>
      </c>
      <c r="B10" s="25">
        <v>746</v>
      </c>
      <c r="C10" s="25">
        <v>780</v>
      </c>
      <c r="D10" s="25">
        <f t="shared" ref="D10:D14" si="0">C10+B10</f>
        <v>1526</v>
      </c>
      <c r="E10" s="26">
        <f t="shared" ref="E10:E14" si="1">D10/365</f>
        <v>4.1808219178082195</v>
      </c>
      <c r="G10" s="24" t="s">
        <v>1</v>
      </c>
      <c r="H10" s="26">
        <f>E10</f>
        <v>4.1808219178082195</v>
      </c>
      <c r="I10" s="27">
        <f t="shared" ref="I10:I11" si="2">H10*365</f>
        <v>1526.0000000000002</v>
      </c>
      <c r="J10" s="20">
        <f>H10/H$14</f>
        <v>8.7076152831772419E-2</v>
      </c>
      <c r="L10" s="10">
        <v>2016</v>
      </c>
      <c r="M10" s="41">
        <v>11.888999999999999</v>
      </c>
      <c r="N10" s="43">
        <f>E19</f>
        <v>3.7284931506849319</v>
      </c>
      <c r="O10" s="60">
        <f>N10/M10</f>
        <v>0.31360864250020459</v>
      </c>
    </row>
    <row r="11" spans="1:15" x14ac:dyDescent="0.25">
      <c r="A11" s="24" t="s">
        <v>2</v>
      </c>
      <c r="B11" s="25">
        <v>589</v>
      </c>
      <c r="C11" s="25">
        <v>793</v>
      </c>
      <c r="D11" s="25">
        <f t="shared" si="0"/>
        <v>1382</v>
      </c>
      <c r="E11" s="26">
        <f t="shared" si="1"/>
        <v>3.7863013698630139</v>
      </c>
      <c r="G11" s="2" t="s">
        <v>2</v>
      </c>
      <c r="H11" s="14">
        <v>3.4450000000000003</v>
      </c>
      <c r="I11" s="29">
        <f t="shared" si="2"/>
        <v>1257.4250000000002</v>
      </c>
      <c r="J11" s="20">
        <f>H11/H$14</f>
        <v>7.1750806995079575E-2</v>
      </c>
      <c r="L11" s="11">
        <v>2023</v>
      </c>
      <c r="M11" s="42">
        <v>10.332000000000001</v>
      </c>
      <c r="N11" s="17"/>
      <c r="O11" s="3"/>
    </row>
    <row r="12" spans="1:15" x14ac:dyDescent="0.25">
      <c r="A12" s="24" t="s">
        <v>11</v>
      </c>
      <c r="B12" s="25">
        <v>907</v>
      </c>
      <c r="C12" s="25">
        <v>1325</v>
      </c>
      <c r="D12" s="25">
        <f>C12+B12</f>
        <v>2232</v>
      </c>
      <c r="E12" s="26">
        <f>D12/365</f>
        <v>6.1150684931506847</v>
      </c>
      <c r="G12" s="24" t="s">
        <v>11</v>
      </c>
      <c r="H12" s="26">
        <f>E12</f>
        <v>6.1150684931506847</v>
      </c>
      <c r="I12" s="27">
        <f>H12*365</f>
        <v>2232</v>
      </c>
      <c r="J12" s="20">
        <f t="shared" ref="J12:J13" si="3">H12/H$14</f>
        <v>0.12736171239876543</v>
      </c>
      <c r="L12" s="1"/>
      <c r="M12" s="18"/>
      <c r="N12" s="18"/>
      <c r="O12" s="1"/>
    </row>
    <row r="13" spans="1:15" x14ac:dyDescent="0.25">
      <c r="A13" s="24" t="s">
        <v>3</v>
      </c>
      <c r="B13" s="25">
        <v>631</v>
      </c>
      <c r="C13" s="25">
        <v>877</v>
      </c>
      <c r="D13" s="25">
        <f t="shared" si="0"/>
        <v>1508</v>
      </c>
      <c r="E13" s="26">
        <f t="shared" si="1"/>
        <v>4.1315068493150688</v>
      </c>
      <c r="G13" s="24" t="s">
        <v>3</v>
      </c>
      <c r="H13" s="26">
        <f>E13</f>
        <v>4.1315068493150688</v>
      </c>
      <c r="I13" s="27">
        <f>D13</f>
        <v>1508</v>
      </c>
      <c r="J13" s="20">
        <f t="shared" si="3"/>
        <v>8.604904224791142E-2</v>
      </c>
      <c r="L13" s="5" t="s">
        <v>19</v>
      </c>
      <c r="M13" s="6"/>
      <c r="N13" s="6"/>
      <c r="O13" s="7"/>
    </row>
    <row r="14" spans="1:15" x14ac:dyDescent="0.25">
      <c r="A14" s="4" t="s">
        <v>4</v>
      </c>
      <c r="B14" s="21">
        <f>SUM(B9:B13)</f>
        <v>7194</v>
      </c>
      <c r="C14" s="21">
        <f>SUM(C9:C13)</f>
        <v>7177</v>
      </c>
      <c r="D14" s="21">
        <f t="shared" si="0"/>
        <v>14371</v>
      </c>
      <c r="E14" s="28">
        <f t="shared" si="1"/>
        <v>39.372602739726027</v>
      </c>
      <c r="G14" s="4" t="s">
        <v>4</v>
      </c>
      <c r="H14" s="28">
        <f>SUM(H9:H13)</f>
        <v>48.013397260273969</v>
      </c>
      <c r="I14" s="30">
        <f>SUM(I9:I13)</f>
        <v>17524.89</v>
      </c>
      <c r="L14" s="8" t="s">
        <v>10</v>
      </c>
      <c r="M14" s="40" t="s">
        <v>22</v>
      </c>
      <c r="N14" s="44" t="s">
        <v>23</v>
      </c>
      <c r="O14" s="9" t="s">
        <v>17</v>
      </c>
    </row>
    <row r="15" spans="1:15" x14ac:dyDescent="0.25">
      <c r="G15" s="1"/>
      <c r="H15" s="15"/>
      <c r="I15" s="16"/>
      <c r="L15" s="10">
        <v>2012</v>
      </c>
      <c r="M15" s="41">
        <f>13.02+2.889</f>
        <v>15.908999999999999</v>
      </c>
      <c r="N15" s="43">
        <f>E13</f>
        <v>4.1315068493150688</v>
      </c>
      <c r="O15" s="60">
        <f>N15/M15</f>
        <v>0.25969620022094847</v>
      </c>
    </row>
    <row r="16" spans="1:15" x14ac:dyDescent="0.25">
      <c r="A16" s="47">
        <v>2016</v>
      </c>
      <c r="B16" s="48" t="s">
        <v>8</v>
      </c>
      <c r="C16" s="48"/>
      <c r="D16" s="48"/>
      <c r="E16" s="13" t="s">
        <v>10</v>
      </c>
      <c r="G16" s="46">
        <v>2016</v>
      </c>
      <c r="H16" s="46" t="s">
        <v>9</v>
      </c>
      <c r="I16" s="46" t="s">
        <v>5</v>
      </c>
      <c r="L16" s="10">
        <v>2016</v>
      </c>
      <c r="M16" s="41">
        <f>11.359+2.976</f>
        <v>14.335000000000001</v>
      </c>
      <c r="N16" s="43">
        <f>E22</f>
        <v>3.6931506849315068</v>
      </c>
      <c r="O16" s="60">
        <f>N16/M16</f>
        <v>0.25763171851632416</v>
      </c>
    </row>
    <row r="17" spans="1:15" x14ac:dyDescent="0.25">
      <c r="A17" s="49"/>
      <c r="B17" s="13" t="s">
        <v>7</v>
      </c>
      <c r="C17" s="13" t="s">
        <v>6</v>
      </c>
      <c r="D17" s="13" t="s">
        <v>4</v>
      </c>
      <c r="E17" s="13" t="s">
        <v>13</v>
      </c>
      <c r="G17" s="46"/>
      <c r="H17" s="46"/>
      <c r="I17" s="46"/>
      <c r="L17" s="11">
        <v>2023</v>
      </c>
      <c r="M17" s="42">
        <f>7.822+2.99</f>
        <v>10.812000000000001</v>
      </c>
      <c r="N17" s="17"/>
      <c r="O17" s="3"/>
    </row>
    <row r="18" spans="1:15" x14ac:dyDescent="0.25">
      <c r="A18" s="24" t="s">
        <v>0</v>
      </c>
      <c r="B18" s="27">
        <v>3966</v>
      </c>
      <c r="C18" s="27">
        <v>3200.4</v>
      </c>
      <c r="D18" s="27">
        <f>B18+C18</f>
        <v>7166.4</v>
      </c>
      <c r="E18" s="26">
        <f>D18/365</f>
        <v>19.633972602739725</v>
      </c>
      <c r="G18" s="2" t="s">
        <v>12</v>
      </c>
      <c r="H18" s="14">
        <v>32.222999999999999</v>
      </c>
      <c r="I18" s="29">
        <f>H18*365</f>
        <v>11761.395</v>
      </c>
    </row>
    <row r="19" spans="1:15" x14ac:dyDescent="0.25">
      <c r="A19" s="24" t="s">
        <v>1</v>
      </c>
      <c r="B19" s="27">
        <v>610</v>
      </c>
      <c r="C19" s="27">
        <v>750.9</v>
      </c>
      <c r="D19" s="27">
        <f t="shared" ref="D19:D20" si="4">B19+C19</f>
        <v>1360.9</v>
      </c>
      <c r="E19" s="26">
        <f t="shared" ref="E19:E23" si="5">D19/365</f>
        <v>3.7284931506849319</v>
      </c>
      <c r="G19" s="24" t="s">
        <v>1</v>
      </c>
      <c r="H19" s="26">
        <f>E19</f>
        <v>3.7284931506849319</v>
      </c>
      <c r="I19" s="27">
        <f t="shared" ref="I19:I20" si="6">H19*365</f>
        <v>1360.9</v>
      </c>
      <c r="L19" s="5" t="s">
        <v>18</v>
      </c>
      <c r="M19" s="19"/>
      <c r="N19" s="19"/>
      <c r="O19" s="7"/>
    </row>
    <row r="20" spans="1:15" x14ac:dyDescent="0.25">
      <c r="A20" s="24" t="s">
        <v>2</v>
      </c>
      <c r="B20" s="27">
        <v>464</v>
      </c>
      <c r="C20" s="27">
        <v>434.7</v>
      </c>
      <c r="D20" s="27">
        <f t="shared" si="4"/>
        <v>898.7</v>
      </c>
      <c r="E20" s="26">
        <f t="shared" si="5"/>
        <v>2.462191780821918</v>
      </c>
      <c r="G20" s="2" t="s">
        <v>2</v>
      </c>
      <c r="H20" s="14">
        <v>2.2220000000000004</v>
      </c>
      <c r="I20" s="29">
        <f t="shared" si="6"/>
        <v>811.0300000000002</v>
      </c>
      <c r="L20" s="8" t="s">
        <v>10</v>
      </c>
      <c r="M20" s="40" t="s">
        <v>22</v>
      </c>
      <c r="N20" s="44" t="s">
        <v>23</v>
      </c>
      <c r="O20" s="9" t="s">
        <v>17</v>
      </c>
    </row>
    <row r="21" spans="1:15" x14ac:dyDescent="0.25">
      <c r="A21" s="24" t="s">
        <v>11</v>
      </c>
      <c r="B21" s="27">
        <v>1343</v>
      </c>
      <c r="C21" s="27">
        <v>1857</v>
      </c>
      <c r="D21" s="27">
        <f>B21+C21</f>
        <v>3200</v>
      </c>
      <c r="E21" s="26">
        <f>D21/365</f>
        <v>8.7671232876712324</v>
      </c>
      <c r="G21" s="24" t="s">
        <v>11</v>
      </c>
      <c r="H21" s="26">
        <f>E21</f>
        <v>8.7671232876712324</v>
      </c>
      <c r="I21" s="27">
        <f>H21*365</f>
        <v>3200</v>
      </c>
      <c r="L21" s="10">
        <v>2012</v>
      </c>
      <c r="M21" s="41">
        <v>12.509499999999999</v>
      </c>
      <c r="N21" s="43">
        <f>E12</f>
        <v>6.1150684931506847</v>
      </c>
      <c r="O21" s="60">
        <f>N21/M21</f>
        <v>0.48883396563816978</v>
      </c>
    </row>
    <row r="22" spans="1:15" x14ac:dyDescent="0.25">
      <c r="A22" s="24" t="s">
        <v>3</v>
      </c>
      <c r="B22" s="27">
        <v>568</v>
      </c>
      <c r="C22" s="27">
        <v>780</v>
      </c>
      <c r="D22" s="27">
        <f>B22+C22</f>
        <v>1348</v>
      </c>
      <c r="E22" s="26">
        <f>D22/365</f>
        <v>3.6931506849315068</v>
      </c>
      <c r="G22" s="24" t="s">
        <v>3</v>
      </c>
      <c r="H22" s="26">
        <f>E22</f>
        <v>3.6931506849315068</v>
      </c>
      <c r="I22" s="27">
        <f>D22</f>
        <v>1348</v>
      </c>
      <c r="L22" s="10">
        <v>2016</v>
      </c>
      <c r="M22" s="41">
        <v>13.316800000000001</v>
      </c>
      <c r="N22" s="43">
        <f>E21</f>
        <v>8.7671232876712324</v>
      </c>
      <c r="O22" s="60">
        <f>N22/M22</f>
        <v>0.65835060132098044</v>
      </c>
    </row>
    <row r="23" spans="1:15" x14ac:dyDescent="0.25">
      <c r="A23" s="4" t="s">
        <v>4</v>
      </c>
      <c r="B23" s="28">
        <f>SUM(B18:B22)</f>
        <v>6951</v>
      </c>
      <c r="C23" s="28">
        <f>SUM(C18:C22)</f>
        <v>7023</v>
      </c>
      <c r="D23" s="28">
        <f>B23+C23</f>
        <v>13974</v>
      </c>
      <c r="E23" s="28">
        <f t="shared" si="5"/>
        <v>38.284931506849318</v>
      </c>
      <c r="G23" s="4" t="s">
        <v>4</v>
      </c>
      <c r="H23" s="28">
        <f>SUM(H18:H22)</f>
        <v>50.633767123287676</v>
      </c>
      <c r="I23" s="30">
        <f>SUM(I18:I22)</f>
        <v>18481.325000000001</v>
      </c>
      <c r="L23" s="11">
        <v>2023</v>
      </c>
      <c r="M23" s="42">
        <v>7.8414000000000001</v>
      </c>
      <c r="N23" s="17"/>
      <c r="O23" s="3"/>
    </row>
    <row r="24" spans="1:15" x14ac:dyDescent="0.25">
      <c r="G24" s="1"/>
      <c r="H24" s="15"/>
      <c r="I24" s="16"/>
      <c r="M24" s="16"/>
      <c r="N24" s="16"/>
    </row>
    <row r="25" spans="1:15" x14ac:dyDescent="0.25">
      <c r="G25" s="46">
        <v>2023</v>
      </c>
      <c r="H25" s="46" t="s">
        <v>9</v>
      </c>
      <c r="I25" s="46" t="s">
        <v>5</v>
      </c>
    </row>
    <row r="26" spans="1:15" ht="15.75" thickBot="1" x14ac:dyDescent="0.3">
      <c r="G26" s="46"/>
      <c r="H26" s="47"/>
      <c r="I26" s="46"/>
    </row>
    <row r="27" spans="1:15" ht="15.75" thickTop="1" x14ac:dyDescent="0.25">
      <c r="G27" s="31" t="s">
        <v>12</v>
      </c>
      <c r="H27" s="36">
        <f>37.109*(E18/H18)</f>
        <v>22.611088021446434</v>
      </c>
      <c r="I27" s="33">
        <f>H27*365</f>
        <v>8253.0471278279492</v>
      </c>
      <c r="J27" s="20">
        <f>H27/H$32</f>
        <v>0.64444396700438755</v>
      </c>
    </row>
    <row r="28" spans="1:15" x14ac:dyDescent="0.25">
      <c r="G28" s="32" t="s">
        <v>1</v>
      </c>
      <c r="H28" s="38">
        <f>M11*O10</f>
        <v>3.2402044943121142</v>
      </c>
      <c r="I28" s="34">
        <f t="shared" ref="I28:I29" si="7">H28*365</f>
        <v>1182.6746404239218</v>
      </c>
      <c r="J28" s="20">
        <f>H28/H$32</f>
        <v>9.2349834569631042E-2</v>
      </c>
    </row>
    <row r="29" spans="1:15" x14ac:dyDescent="0.25">
      <c r="G29" s="31" t="s">
        <v>2</v>
      </c>
      <c r="H29" s="37">
        <v>1.2870000000000001</v>
      </c>
      <c r="I29" s="33">
        <f t="shared" si="7"/>
        <v>469.75500000000005</v>
      </c>
      <c r="J29" s="20">
        <f>H29/H$32</f>
        <v>3.6681091363138657E-2</v>
      </c>
    </row>
    <row r="30" spans="1:15" x14ac:dyDescent="0.25">
      <c r="G30" s="32" t="s">
        <v>11</v>
      </c>
      <c r="H30" s="38">
        <f>M23*O22</f>
        <v>5.1623904051983365</v>
      </c>
      <c r="I30" s="34">
        <f>H30*365</f>
        <v>1884.2724978973929</v>
      </c>
      <c r="J30" s="20">
        <f t="shared" ref="J30:J31" si="8">H30/H$32</f>
        <v>0.14713450979430504</v>
      </c>
      <c r="L30" s="1"/>
    </row>
    <row r="31" spans="1:15" x14ac:dyDescent="0.25">
      <c r="G31" s="32" t="s">
        <v>3</v>
      </c>
      <c r="H31" s="38">
        <f>O16*M17</f>
        <v>2.7855141405984973</v>
      </c>
      <c r="I31" s="34">
        <f>H31*365</f>
        <v>1016.7126613184515</v>
      </c>
      <c r="J31" s="20">
        <f t="shared" si="8"/>
        <v>7.9390597268537796E-2</v>
      </c>
    </row>
    <row r="32" spans="1:15" ht="15.75" thickBot="1" x14ac:dyDescent="0.3">
      <c r="G32" s="8" t="s">
        <v>4</v>
      </c>
      <c r="H32" s="39">
        <f>SUM(H27:H31)</f>
        <v>35.086197061555382</v>
      </c>
      <c r="I32" s="35">
        <f>SUM(I27:I31)</f>
        <v>12806.461927467715</v>
      </c>
    </row>
    <row r="33" ht="15.75" thickTop="1" x14ac:dyDescent="0.25"/>
  </sheetData>
  <mergeCells count="19">
    <mergeCell ref="L1:M1"/>
    <mergeCell ref="L2:M2"/>
    <mergeCell ref="L3:M3"/>
    <mergeCell ref="A5:E5"/>
    <mergeCell ref="G5:J5"/>
    <mergeCell ref="L5:O5"/>
    <mergeCell ref="A16:A17"/>
    <mergeCell ref="A7:A8"/>
    <mergeCell ref="H7:H8"/>
    <mergeCell ref="I7:I8"/>
    <mergeCell ref="G16:G17"/>
    <mergeCell ref="H16:H17"/>
    <mergeCell ref="I16:I17"/>
    <mergeCell ref="G25:G26"/>
    <mergeCell ref="H25:H26"/>
    <mergeCell ref="I25:I26"/>
    <mergeCell ref="B7:D7"/>
    <mergeCell ref="B16:D16"/>
    <mergeCell ref="G7:G8"/>
  </mergeCells>
  <hyperlinks>
    <hyperlink ref="L2:M2" r:id="rId1" display="CARB SIP Inventory"/>
    <hyperlink ref="N1" r:id="rId2"/>
    <hyperlink ref="O1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Calculations</vt:lpstr>
      <vt:lpstr>2023 Stacked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2018-01-25T21:42:22Z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276ad26e-1e64-4dc2-8e5b-b6b6bec24dfc</vt:lpwstr>
  </property>
</Properties>
</file>